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890" yWindow="1005" windowWidth="14940" windowHeight="8385"/>
  </bookViews>
  <sheets>
    <sheet name="West Side" sheetId="2" r:id="rId1"/>
  </sheets>
  <definedNames>
    <definedName name="factor" localSheetId="0">'West Side'!$L$6</definedName>
    <definedName name="factor">#REF!</definedName>
    <definedName name="one" localSheetId="0">'West Side'!#REF!</definedName>
    <definedName name="one">#REF!</definedName>
    <definedName name="_xlnm.Print_Area" localSheetId="0">'West Side'!$A$1:$X$23</definedName>
    <definedName name="three" localSheetId="0">'West Side'!$L$8</definedName>
    <definedName name="three">#REF!</definedName>
    <definedName name="two" localSheetId="0">'West Side'!$L$7</definedName>
    <definedName name="two">#REF!</definedName>
  </definedNames>
  <calcPr calcId="145621"/>
</workbook>
</file>

<file path=xl/calcChain.xml><?xml version="1.0" encoding="utf-8"?>
<calcChain xmlns="http://schemas.openxmlformats.org/spreadsheetml/2006/main">
  <c r="C37" i="2" l="1"/>
  <c r="C42" i="2"/>
  <c r="D14" i="2"/>
  <c r="D13" i="2"/>
  <c r="D10" i="2" l="1"/>
  <c r="C10" i="2"/>
  <c r="C11" i="2"/>
  <c r="H7" i="2"/>
  <c r="G7" i="2"/>
  <c r="G23" i="2" s="1"/>
  <c r="C7" i="2"/>
  <c r="D7" i="2"/>
  <c r="K24" i="2"/>
  <c r="I21" i="2"/>
  <c r="H21" i="2"/>
  <c r="I20" i="2"/>
  <c r="I23" i="2"/>
  <c r="J8" i="2"/>
  <c r="J9" i="2"/>
  <c r="J12" i="2"/>
  <c r="J17" i="2"/>
  <c r="J6" i="2"/>
  <c r="E37" i="2"/>
  <c r="E42" i="2"/>
  <c r="M42" i="2" s="1"/>
  <c r="E33" i="2"/>
  <c r="M33" i="2" s="1"/>
  <c r="B60" i="2"/>
  <c r="E34" i="2"/>
  <c r="M34" i="2" s="1"/>
  <c r="E36" i="2"/>
  <c r="M36" i="2"/>
  <c r="B62" i="2"/>
  <c r="E38" i="2"/>
  <c r="M38" i="2"/>
  <c r="E39" i="2"/>
  <c r="E41" i="2"/>
  <c r="M41" i="2" s="1"/>
  <c r="B61" i="2"/>
  <c r="E43" i="2"/>
  <c r="B20" i="2" s="1"/>
  <c r="H20" i="2" s="1"/>
  <c r="J20" i="2" s="1"/>
  <c r="M43" i="2"/>
  <c r="E44" i="2"/>
  <c r="B21" i="2" s="1"/>
  <c r="J21" i="2" s="1"/>
  <c r="B34" i="2"/>
  <c r="F36" i="2"/>
  <c r="G36" i="2"/>
  <c r="H36" i="2"/>
  <c r="I36" i="2"/>
  <c r="J36" i="2"/>
  <c r="F38" i="2"/>
  <c r="G38" i="2"/>
  <c r="H38" i="2"/>
  <c r="F39" i="2"/>
  <c r="G39" i="2"/>
  <c r="H39" i="2"/>
  <c r="I39" i="2"/>
  <c r="J39" i="2"/>
  <c r="F43" i="2"/>
  <c r="G43" i="2"/>
  <c r="H43" i="2"/>
  <c r="I43" i="2"/>
  <c r="J43" i="2"/>
  <c r="F45" i="2"/>
  <c r="G46" i="2"/>
  <c r="H46" i="2"/>
  <c r="I46" i="2"/>
  <c r="J46" i="2"/>
  <c r="F47" i="2"/>
  <c r="G47" i="2"/>
  <c r="H47" i="2"/>
  <c r="I47" i="2"/>
  <c r="J47" i="2"/>
  <c r="B51" i="2"/>
  <c r="D51" i="2"/>
  <c r="D53" i="2" s="1"/>
  <c r="D55" i="2" s="1"/>
  <c r="B52" i="2"/>
  <c r="D52" i="2"/>
  <c r="D54" i="2"/>
  <c r="F23" i="2"/>
  <c r="B53" i="2" l="1"/>
  <c r="B55" i="2" s="1"/>
  <c r="B56" i="2" s="1"/>
  <c r="B13" i="2"/>
  <c r="B14" i="2"/>
  <c r="J14" i="2" s="1"/>
  <c r="B10" i="2"/>
  <c r="J10" i="2" s="1"/>
  <c r="B16" i="2"/>
  <c r="J16" i="2" s="1"/>
  <c r="J13" i="2"/>
  <c r="B19" i="2"/>
  <c r="J19" i="2" s="1"/>
  <c r="B15" i="2"/>
  <c r="J15" i="2" s="1"/>
  <c r="H23" i="2"/>
  <c r="E45" i="2"/>
  <c r="M44" i="2"/>
  <c r="M39" i="2"/>
  <c r="B11" i="2"/>
  <c r="J11" i="2" s="1"/>
  <c r="B18" i="2"/>
  <c r="J18" i="2" s="1"/>
  <c r="M37" i="2"/>
  <c r="C23" i="2"/>
  <c r="D23" i="2"/>
  <c r="J7" i="2"/>
  <c r="E23" i="2"/>
  <c r="B23" i="2" l="1"/>
  <c r="J23" i="2" s="1"/>
  <c r="M45" i="2"/>
</calcChain>
</file>

<file path=xl/sharedStrings.xml><?xml version="1.0" encoding="utf-8"?>
<sst xmlns="http://schemas.openxmlformats.org/spreadsheetml/2006/main" count="58" uniqueCount="44">
  <si>
    <t>West Side Easement</t>
  </si>
  <si>
    <t>Shared Tank 6B JV/SJ</t>
  </si>
  <si>
    <t>Shared Tank 6B JV/SJ/H</t>
  </si>
  <si>
    <t>Annex Prop. South of 118 to SJ to combine infrastructure</t>
  </si>
  <si>
    <t>Shared Tank 8B JV/SJ/Other</t>
  </si>
  <si>
    <t>Shared Tank 8A JV/SJ/WJ</t>
  </si>
  <si>
    <t>Total</t>
  </si>
  <si>
    <t>Master Planning</t>
  </si>
  <si>
    <t>Length</t>
  </si>
  <si>
    <t>Rate</t>
  </si>
  <si>
    <t>Zone 6B 11800 So. Transmission</t>
  </si>
  <si>
    <t>Cost</t>
  </si>
  <si>
    <t>West Side Offsite Water (Zones 6B, 7 and 8)</t>
  </si>
  <si>
    <t>Zone 7/8B Tank Fill</t>
  </si>
  <si>
    <t>Zone 7/8B 11800 South Transmission</t>
  </si>
  <si>
    <t>Zone 7/8B SR 111 Transmission</t>
  </si>
  <si>
    <t>Zone 7/8A Transmission SR 111</t>
  </si>
  <si>
    <t>6B</t>
  </si>
  <si>
    <t>7/8B</t>
  </si>
  <si>
    <t>7/8A</t>
  </si>
  <si>
    <t>SJC</t>
  </si>
  <si>
    <t>KL</t>
  </si>
  <si>
    <t>Cost Share Factor between SJC and KL by area</t>
  </si>
  <si>
    <t>Year to Date Spent</t>
  </si>
  <si>
    <t>Z6 Tank Eng</t>
  </si>
  <si>
    <t>Z6 Tank Const</t>
  </si>
  <si>
    <t>4MG Tank</t>
  </si>
  <si>
    <t>Cost/gal</t>
  </si>
  <si>
    <t>Z6&amp;7 Pipe Eng</t>
  </si>
  <si>
    <t>Z6&amp;7 Const</t>
  </si>
  <si>
    <t>length (ft)</t>
  </si>
  <si>
    <t>Cost/ft</t>
  </si>
  <si>
    <t>Z6&amp;7 Pipe (30"&amp;24")</t>
  </si>
  <si>
    <t>use (1.15)</t>
  </si>
  <si>
    <t>Zone 6B Storage in Tank 7/8B 2MG @ $0.88/gal</t>
  </si>
  <si>
    <t>Zone 7/8B 4MG Tank $0.88/gal</t>
  </si>
  <si>
    <t>Zone 7/8A Transmission 10200 So.Tank to U-111</t>
  </si>
  <si>
    <t>Zone 7/8A Transmission Prosperity Dr. and ext to V5</t>
  </si>
  <si>
    <t>Zone 7/8A 4MG Tank $0.88/gal</t>
  </si>
  <si>
    <t>3000-003-W13</t>
  </si>
  <si>
    <t>2010 Approved Estimate</t>
  </si>
  <si>
    <t>Master Planning/Agency &amp; KUC Coordination</t>
  </si>
  <si>
    <t>New Budget 2016 Plan</t>
  </si>
  <si>
    <t>West Side Offsite Water Backup 2016 Plan 3-14-16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</si>
</sst>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55"/>
      <name val="Arial"/>
      <family val="2"/>
    </font>
    <font>
      <b/>
      <sz val="10"/>
      <color indexed="55"/>
      <name val="Arial"/>
      <family val="2"/>
    </font>
    <font>
      <sz val="10"/>
      <color indexed="10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/>
    <xf numFmtId="164" fontId="1" fillId="0" borderId="0" xfId="2" applyNumberFormat="1" applyFont="1" applyFill="1" applyAlignment="1">
      <alignment wrapText="1"/>
    </xf>
    <xf numFmtId="164" fontId="1" fillId="0" borderId="0" xfId="2" applyNumberFormat="1" applyFill="1" applyAlignment="1">
      <alignment wrapText="1"/>
    </xf>
    <xf numFmtId="164" fontId="3" fillId="0" borderId="0" xfId="2" applyNumberFormat="1" applyFont="1" applyFill="1" applyAlignment="1">
      <alignment wrapText="1"/>
    </xf>
    <xf numFmtId="0" fontId="4" fillId="0" borderId="0" xfId="0" applyFont="1" applyAlignment="1">
      <alignment horizontal="left" indent="1"/>
    </xf>
    <xf numFmtId="164" fontId="3" fillId="0" borderId="0" xfId="2" applyNumberFormat="1" applyFont="1" applyAlignment="1">
      <alignment horizontal="center"/>
    </xf>
    <xf numFmtId="164" fontId="4" fillId="0" borderId="0" xfId="2" applyNumberFormat="1" applyFont="1" applyFill="1" applyAlignment="1">
      <alignment wrapText="1"/>
    </xf>
    <xf numFmtId="165" fontId="4" fillId="0" borderId="0" xfId="1" applyNumberFormat="1" applyFont="1" applyFill="1" applyAlignment="1">
      <alignment wrapText="1"/>
    </xf>
    <xf numFmtId="0" fontId="4" fillId="0" borderId="0" xfId="0" applyFont="1"/>
    <xf numFmtId="0" fontId="3" fillId="0" borderId="0" xfId="0" applyFont="1" applyAlignment="1">
      <alignment horizontal="right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165" fontId="5" fillId="0" borderId="0" xfId="1" applyNumberFormat="1" applyFont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44" fontId="0" fillId="2" borderId="4" xfId="0" applyNumberForma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/>
    <xf numFmtId="0" fontId="0" fillId="2" borderId="0" xfId="0" applyFill="1" applyAlignment="1">
      <alignment horizontal="center"/>
    </xf>
    <xf numFmtId="164" fontId="6" fillId="0" borderId="0" xfId="2" applyNumberFormat="1" applyFont="1" applyAlignment="1">
      <alignment horizontal="center"/>
    </xf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164" fontId="6" fillId="0" borderId="5" xfId="2" applyNumberFormat="1" applyFont="1" applyBorder="1" applyAlignment="1">
      <alignment horizontal="center"/>
    </xf>
    <xf numFmtId="165" fontId="6" fillId="0" borderId="0" xfId="1" applyNumberFormat="1" applyFont="1" applyAlignment="1">
      <alignment horizontal="center" wrapText="1"/>
    </xf>
    <xf numFmtId="164" fontId="6" fillId="0" borderId="0" xfId="2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165" fontId="6" fillId="0" borderId="0" xfId="1" applyNumberFormat="1" applyFont="1" applyFill="1" applyAlignment="1">
      <alignment wrapText="1"/>
    </xf>
    <xf numFmtId="164" fontId="6" fillId="0" borderId="0" xfId="2" applyNumberFormat="1" applyFont="1" applyFill="1" applyAlignment="1">
      <alignment wrapText="1"/>
    </xf>
    <xf numFmtId="164" fontId="7" fillId="0" borderId="0" xfId="2" applyNumberFormat="1" applyFont="1" applyFill="1" applyAlignment="1">
      <alignment wrapText="1"/>
    </xf>
    <xf numFmtId="0" fontId="6" fillId="0" borderId="0" xfId="0" applyFont="1" applyFill="1" applyAlignment="1">
      <alignment wrapText="1"/>
    </xf>
    <xf numFmtId="164" fontId="6" fillId="0" borderId="0" xfId="2" applyNumberFormat="1" applyFont="1" applyFill="1"/>
    <xf numFmtId="0" fontId="6" fillId="0" borderId="0" xfId="0" applyFont="1" applyFill="1"/>
    <xf numFmtId="164" fontId="6" fillId="0" borderId="5" xfId="2" applyNumberFormat="1" applyFont="1" applyFill="1" applyBorder="1" applyAlignment="1">
      <alignment wrapText="1"/>
    </xf>
    <xf numFmtId="164" fontId="1" fillId="0" borderId="0" xfId="0" applyNumberFormat="1" applyFont="1"/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right"/>
    </xf>
    <xf numFmtId="164" fontId="1" fillId="0" borderId="5" xfId="0" applyNumberFormat="1" applyFont="1" applyFill="1" applyBorder="1"/>
    <xf numFmtId="164" fontId="1" fillId="0" borderId="0" xfId="0" applyNumberFormat="1" applyFont="1" applyFill="1"/>
    <xf numFmtId="164" fontId="3" fillId="3" borderId="6" xfId="2" applyNumberFormat="1" applyFont="1" applyFill="1" applyBorder="1"/>
    <xf numFmtId="164" fontId="0" fillId="0" borderId="0" xfId="0" applyNumberForma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1" fillId="0" borderId="1" xfId="2" applyNumberFormat="1" applyFill="1" applyBorder="1"/>
    <xf numFmtId="164" fontId="1" fillId="0" borderId="1" xfId="2" applyNumberFormat="1" applyFill="1" applyBorder="1" applyAlignment="1">
      <alignment horizontal="center"/>
    </xf>
    <xf numFmtId="164" fontId="1" fillId="0" borderId="0" xfId="2" applyNumberFormat="1"/>
    <xf numFmtId="164" fontId="1" fillId="2" borderId="7" xfId="2" applyNumberFormat="1" applyFill="1" applyBorder="1" applyAlignment="1">
      <alignment horizontal="center"/>
    </xf>
    <xf numFmtId="164" fontId="1" fillId="2" borderId="4" xfId="2" applyNumberFormat="1" applyFill="1" applyBorder="1" applyAlignment="1">
      <alignment horizontal="center"/>
    </xf>
    <xf numFmtId="44" fontId="1" fillId="2" borderId="7" xfId="2" applyNumberFormat="1" applyFill="1" applyBorder="1" applyAlignment="1">
      <alignment horizontal="center"/>
    </xf>
    <xf numFmtId="165" fontId="1" fillId="2" borderId="0" xfId="1" applyNumberFormat="1" applyFill="1"/>
    <xf numFmtId="164" fontId="1" fillId="2" borderId="0" xfId="2" applyNumberFormat="1" applyFill="1"/>
    <xf numFmtId="165" fontId="1" fillId="0" borderId="0" xfId="1" applyNumberFormat="1"/>
    <xf numFmtId="164" fontId="1" fillId="0" borderId="8" xfId="2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 wrapText="1"/>
    </xf>
    <xf numFmtId="165" fontId="10" fillId="0" borderId="0" xfId="1" applyNumberFormat="1" applyFont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wrapText="1"/>
    </xf>
    <xf numFmtId="165" fontId="10" fillId="0" borderId="0" xfId="1" applyNumberFormat="1" applyFont="1" applyFill="1" applyAlignment="1">
      <alignment wrapText="1"/>
    </xf>
    <xf numFmtId="164" fontId="10" fillId="0" borderId="0" xfId="2" applyNumberFormat="1" applyFont="1" applyFill="1" applyAlignment="1">
      <alignment wrapText="1"/>
    </xf>
    <xf numFmtId="165" fontId="10" fillId="0" borderId="0" xfId="1" applyNumberFormat="1" applyFont="1" applyFill="1"/>
    <xf numFmtId="164" fontId="11" fillId="0" borderId="0" xfId="2" applyNumberFormat="1" applyFont="1" applyFill="1" applyAlignment="1"/>
    <xf numFmtId="165" fontId="11" fillId="0" borderId="0" xfId="1" applyNumberFormat="1" applyFont="1" applyFill="1" applyAlignment="1"/>
    <xf numFmtId="0" fontId="0" fillId="0" borderId="0" xfId="0" applyBorder="1" applyAlignment="1">
      <alignment horizontal="center"/>
    </xf>
    <xf numFmtId="164" fontId="1" fillId="0" borderId="0" xfId="2" applyNumberFormat="1" applyFill="1" applyBorder="1"/>
    <xf numFmtId="0" fontId="8" fillId="0" borderId="0" xfId="0" applyFont="1" applyAlignment="1">
      <alignment horizontal="left"/>
    </xf>
    <xf numFmtId="164" fontId="3" fillId="3" borderId="1" xfId="2" applyNumberFormat="1" applyFont="1" applyFill="1" applyBorder="1"/>
    <xf numFmtId="0" fontId="4" fillId="0" borderId="0" xfId="0" applyFont="1" applyAlignment="1">
      <alignment horizontal="right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left" indent="1"/>
    </xf>
    <xf numFmtId="164" fontId="4" fillId="0" borderId="0" xfId="0" applyNumberFormat="1" applyFont="1" applyFill="1"/>
    <xf numFmtId="164" fontId="1" fillId="4" borderId="1" xfId="2" applyNumberFormat="1" applyFill="1" applyBorder="1"/>
    <xf numFmtId="164" fontId="1" fillId="4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2"/>
  <sheetViews>
    <sheetView tabSelected="1" zoomScaleNormal="100" zoomScaleSheetLayoutView="100" workbookViewId="0">
      <selection activeCell="F64" sqref="F64"/>
    </sheetView>
  </sheetViews>
  <sheetFormatPr defaultRowHeight="12.75" x14ac:dyDescent="0.2"/>
  <cols>
    <col min="1" max="1" width="49.5703125" customWidth="1"/>
    <col min="2" max="2" width="12.85546875" bestFit="1" customWidth="1"/>
    <col min="3" max="3" width="13.5703125" style="55" customWidth="1"/>
    <col min="4" max="4" width="18.7109375" style="49" customWidth="1"/>
    <col min="5" max="5" width="12.7109375" style="49" customWidth="1"/>
    <col min="6" max="6" width="12" bestFit="1" customWidth="1"/>
    <col min="7" max="7" width="11.85546875" bestFit="1" customWidth="1"/>
    <col min="8" max="8" width="13.7109375" bestFit="1" customWidth="1"/>
    <col min="9" max="10" width="14.42578125" bestFit="1" customWidth="1"/>
    <col min="11" max="12" width="14.42578125" customWidth="1"/>
    <col min="13" max="13" width="12.28515625" customWidth="1"/>
    <col min="14" max="15" width="13.5703125" customWidth="1"/>
    <col min="16" max="16" width="11.28515625" bestFit="1" customWidth="1"/>
    <col min="17" max="17" width="15" customWidth="1"/>
    <col min="18" max="22" width="11.28515625" bestFit="1" customWidth="1"/>
    <col min="23" max="24" width="12.28515625" bestFit="1" customWidth="1"/>
  </cols>
  <sheetData>
    <row r="1" spans="1:19" s="1" customFormat="1" ht="18" x14ac:dyDescent="0.25">
      <c r="A1" s="17" t="s">
        <v>43</v>
      </c>
      <c r="B1" s="2"/>
      <c r="D1" s="9"/>
      <c r="F1" s="2"/>
      <c r="G1" s="2"/>
      <c r="H1" s="2"/>
      <c r="I1" s="2"/>
      <c r="J1" s="2"/>
      <c r="K1" s="2"/>
      <c r="L1" s="2"/>
      <c r="M1" s="2"/>
      <c r="N1"/>
    </row>
    <row r="2" spans="1:19" x14ac:dyDescent="0.2">
      <c r="A2" s="46" t="s">
        <v>12</v>
      </c>
      <c r="B2" s="5"/>
      <c r="C2" s="31"/>
      <c r="D2" s="69"/>
      <c r="E2" s="32"/>
      <c r="F2" s="32"/>
      <c r="G2" s="32"/>
      <c r="H2" s="32"/>
      <c r="I2" s="32"/>
      <c r="J2" s="32"/>
      <c r="K2" s="32"/>
      <c r="L2" s="32"/>
      <c r="M2" s="25"/>
      <c r="N2" s="38"/>
      <c r="O2" s="16"/>
      <c r="P2" s="16"/>
      <c r="Q2" s="16"/>
      <c r="R2" s="16"/>
      <c r="S2" s="16"/>
    </row>
    <row r="3" spans="1:19" x14ac:dyDescent="0.2">
      <c r="A3" s="59" t="s">
        <v>39</v>
      </c>
      <c r="B3" s="5"/>
      <c r="D3" s="70"/>
      <c r="E3" s="32"/>
      <c r="F3" s="32"/>
      <c r="G3" s="32"/>
      <c r="H3" s="32"/>
      <c r="I3" s="32"/>
      <c r="J3" s="32"/>
      <c r="K3" s="32"/>
      <c r="L3" s="32"/>
      <c r="M3" s="25"/>
      <c r="N3" s="38"/>
      <c r="O3" s="16"/>
      <c r="P3" s="16"/>
      <c r="Q3" s="16"/>
      <c r="R3" s="16"/>
      <c r="S3" s="16"/>
    </row>
    <row r="4" spans="1:19" x14ac:dyDescent="0.2">
      <c r="A4" s="73"/>
      <c r="B4" s="5"/>
      <c r="C4" s="31"/>
      <c r="D4" s="32"/>
      <c r="E4" s="32"/>
      <c r="F4" s="32"/>
      <c r="G4" s="32"/>
      <c r="H4" s="32"/>
      <c r="I4" s="32"/>
      <c r="J4" s="32"/>
      <c r="K4" s="32"/>
      <c r="L4" s="32"/>
      <c r="M4" s="25"/>
      <c r="N4" s="38"/>
      <c r="O4" s="16"/>
      <c r="P4" s="16"/>
      <c r="Q4" s="16"/>
      <c r="R4" s="16"/>
      <c r="S4" s="16"/>
    </row>
    <row r="5" spans="1:19" s="1" customFormat="1" ht="15" customHeight="1" x14ac:dyDescent="0.2">
      <c r="A5" s="13"/>
      <c r="B5" s="39"/>
      <c r="C5" s="15">
        <v>2015</v>
      </c>
      <c r="D5" s="15">
        <v>2016</v>
      </c>
      <c r="E5" s="15">
        <v>2017</v>
      </c>
      <c r="F5" s="15">
        <v>2018</v>
      </c>
      <c r="G5" s="15">
        <v>2019</v>
      </c>
      <c r="H5" s="15">
        <v>2020</v>
      </c>
      <c r="I5" s="15">
        <v>2021</v>
      </c>
      <c r="K5" s="78"/>
      <c r="L5" s="78"/>
      <c r="M5" s="14"/>
      <c r="N5" s="14"/>
      <c r="O5" s="14"/>
      <c r="P5" s="14"/>
    </row>
    <row r="6" spans="1:19" s="1" customFormat="1" x14ac:dyDescent="0.2">
      <c r="A6" s="40" t="s">
        <v>23</v>
      </c>
      <c r="B6" s="45">
        <v>0</v>
      </c>
      <c r="C6" s="57"/>
      <c r="D6" s="57"/>
      <c r="E6" s="57"/>
      <c r="F6" s="71"/>
      <c r="G6" s="71"/>
      <c r="H6" s="71"/>
      <c r="I6" s="71"/>
      <c r="J6" s="25">
        <f>SUM(C6:I6)-B6</f>
        <v>0</v>
      </c>
      <c r="K6" s="14"/>
      <c r="L6" s="14"/>
    </row>
    <row r="7" spans="1:19" x14ac:dyDescent="0.2">
      <c r="A7" s="8" t="s">
        <v>41</v>
      </c>
      <c r="B7" s="42">
        <v>296700</v>
      </c>
      <c r="C7" s="48">
        <f>B7/4</f>
        <v>74175</v>
      </c>
      <c r="D7" s="48">
        <f>B7/4</f>
        <v>74175</v>
      </c>
      <c r="E7" s="48"/>
      <c r="F7" s="48"/>
      <c r="G7" s="48">
        <f>B7/4</f>
        <v>74175</v>
      </c>
      <c r="H7" s="48">
        <f>B7/4</f>
        <v>74175</v>
      </c>
      <c r="I7" s="48"/>
      <c r="J7" s="25">
        <f>SUM(C7:I7)-B7</f>
        <v>0</v>
      </c>
      <c r="K7" s="14"/>
      <c r="L7" s="14"/>
    </row>
    <row r="8" spans="1:19" x14ac:dyDescent="0.2">
      <c r="A8" s="8"/>
      <c r="B8" s="42"/>
      <c r="C8" s="48"/>
      <c r="D8" s="48"/>
      <c r="E8" s="48"/>
      <c r="F8" s="48"/>
      <c r="G8" s="48"/>
      <c r="H8" s="48"/>
      <c r="I8" s="48"/>
      <c r="J8" s="25">
        <f>SUM(C8:I8)-B8</f>
        <v>0</v>
      </c>
      <c r="K8" s="14"/>
      <c r="L8" s="14"/>
    </row>
    <row r="9" spans="1:19" x14ac:dyDescent="0.2">
      <c r="A9" s="79"/>
      <c r="B9" s="80"/>
      <c r="C9" s="48"/>
      <c r="D9" s="48"/>
      <c r="E9" s="48"/>
      <c r="F9" s="48"/>
      <c r="G9" s="48">
        <v>0</v>
      </c>
      <c r="H9" s="48"/>
      <c r="I9" s="48"/>
      <c r="J9" s="25">
        <f>SUM(C9:I9)-B9</f>
        <v>0</v>
      </c>
      <c r="K9" s="14"/>
      <c r="L9" s="14"/>
    </row>
    <row r="10" spans="1:19" x14ac:dyDescent="0.2">
      <c r="A10" s="8" t="s">
        <v>34</v>
      </c>
      <c r="B10" s="42">
        <f>E33*B60</f>
        <v>1056000</v>
      </c>
      <c r="C10" s="47">
        <f>528000-300000-100000</f>
        <v>128000</v>
      </c>
      <c r="D10" s="47">
        <f>878000+50000</f>
        <v>928000</v>
      </c>
      <c r="E10" s="47"/>
      <c r="F10" s="47"/>
      <c r="G10" s="47"/>
      <c r="H10" s="48"/>
      <c r="I10" s="48"/>
      <c r="J10" s="25">
        <f>SUM(C10:I10)-B10</f>
        <v>0</v>
      </c>
    </row>
    <row r="11" spans="1:19" x14ac:dyDescent="0.2">
      <c r="A11" s="8" t="s">
        <v>10</v>
      </c>
      <c r="B11" s="42">
        <f>E34*B60</f>
        <v>453000</v>
      </c>
      <c r="C11" s="47">
        <f>226500-100000-50000</f>
        <v>76500</v>
      </c>
      <c r="D11" s="47">
        <v>376500</v>
      </c>
      <c r="E11" s="47"/>
      <c r="F11" s="47"/>
      <c r="G11" s="47"/>
      <c r="H11" s="48"/>
      <c r="I11" s="48"/>
      <c r="J11" s="25">
        <f>SUM(C11:I11)-B11</f>
        <v>0</v>
      </c>
    </row>
    <row r="12" spans="1:19" x14ac:dyDescent="0.2">
      <c r="A12" s="8"/>
      <c r="B12" s="42"/>
      <c r="C12" s="47"/>
      <c r="D12" s="47"/>
      <c r="E12" s="47"/>
      <c r="F12" s="47"/>
      <c r="G12" s="47"/>
      <c r="H12" s="48"/>
      <c r="I12" s="48"/>
      <c r="J12" s="25">
        <f>SUM(C12:I12)-B12</f>
        <v>0</v>
      </c>
    </row>
    <row r="13" spans="1:19" x14ac:dyDescent="0.2">
      <c r="A13" s="8" t="s">
        <v>35</v>
      </c>
      <c r="B13" s="82">
        <f>E36*B62+250000</f>
        <v>3206800</v>
      </c>
      <c r="C13" s="47"/>
      <c r="D13" s="81">
        <f>2478400+250000</f>
        <v>2728400</v>
      </c>
      <c r="E13" s="47">
        <v>478400</v>
      </c>
      <c r="F13" s="47"/>
      <c r="G13" s="47"/>
      <c r="H13" s="48"/>
      <c r="I13" s="48"/>
      <c r="J13" s="25">
        <f>SUM(C13:I13)-B13</f>
        <v>0</v>
      </c>
    </row>
    <row r="14" spans="1:19" x14ac:dyDescent="0.2">
      <c r="A14" s="8" t="s">
        <v>14</v>
      </c>
      <c r="B14" s="82">
        <f>E37*B62+250000</f>
        <v>2626864</v>
      </c>
      <c r="C14" s="47"/>
      <c r="D14" s="81">
        <f>2188432+250000</f>
        <v>2438432</v>
      </c>
      <c r="E14" s="47">
        <v>188432</v>
      </c>
      <c r="F14" s="47"/>
      <c r="G14" s="47"/>
      <c r="H14" s="48"/>
      <c r="I14" s="48"/>
      <c r="J14" s="25">
        <f>SUM(C14:I14)-B14</f>
        <v>0</v>
      </c>
    </row>
    <row r="15" spans="1:19" x14ac:dyDescent="0.2">
      <c r="A15" s="8" t="s">
        <v>15</v>
      </c>
      <c r="B15" s="42">
        <f>E38*B62</f>
        <v>812952</v>
      </c>
      <c r="C15" s="47"/>
      <c r="D15" s="47"/>
      <c r="E15" s="47"/>
      <c r="F15" s="47"/>
      <c r="G15" s="47"/>
      <c r="H15" s="48">
        <v>812952</v>
      </c>
      <c r="I15" s="48"/>
      <c r="J15" s="25">
        <f>SUM(C15:I15)-B15</f>
        <v>0</v>
      </c>
    </row>
    <row r="16" spans="1:19" x14ac:dyDescent="0.2">
      <c r="A16" s="8" t="s">
        <v>13</v>
      </c>
      <c r="B16" s="42">
        <f>E39*B62</f>
        <v>577752</v>
      </c>
      <c r="C16" s="47"/>
      <c r="D16" s="47"/>
      <c r="E16" s="47">
        <v>577752</v>
      </c>
      <c r="F16" s="47"/>
      <c r="G16" s="47"/>
      <c r="H16" s="48"/>
      <c r="I16" s="48"/>
      <c r="J16" s="25">
        <f>SUM(C16:I16)-B16</f>
        <v>0</v>
      </c>
    </row>
    <row r="17" spans="1:22" x14ac:dyDescent="0.2">
      <c r="A17" s="12"/>
      <c r="B17" s="42"/>
      <c r="C17" s="47"/>
      <c r="D17" s="47"/>
      <c r="E17" s="47"/>
      <c r="F17" s="47"/>
      <c r="G17" s="47"/>
      <c r="H17" s="48"/>
      <c r="I17" s="48"/>
      <c r="J17" s="25">
        <f>SUM(C17:I17)-B17</f>
        <v>0</v>
      </c>
    </row>
    <row r="18" spans="1:22" x14ac:dyDescent="0.2">
      <c r="A18" s="8" t="s">
        <v>36</v>
      </c>
      <c r="B18" s="42">
        <f>E41*B61</f>
        <v>925480</v>
      </c>
      <c r="C18" s="47"/>
      <c r="D18" s="47"/>
      <c r="E18" s="47"/>
      <c r="F18" s="47"/>
      <c r="G18" s="47"/>
      <c r="H18" s="48">
        <v>925480</v>
      </c>
      <c r="I18" s="48"/>
      <c r="J18" s="25">
        <f>SUM(C18:I18)-B18</f>
        <v>0</v>
      </c>
    </row>
    <row r="19" spans="1:22" x14ac:dyDescent="0.2">
      <c r="A19" s="8" t="s">
        <v>37</v>
      </c>
      <c r="B19" s="42">
        <f>E42*B61</f>
        <v>981920</v>
      </c>
      <c r="C19" s="58"/>
      <c r="D19" s="47"/>
      <c r="E19" s="47"/>
      <c r="F19" s="47"/>
      <c r="G19" s="47"/>
      <c r="H19" s="47">
        <v>690960</v>
      </c>
      <c r="I19" s="47">
        <v>290960</v>
      </c>
      <c r="J19" s="25">
        <f>SUM(C19:I19)-B19</f>
        <v>0</v>
      </c>
    </row>
    <row r="20" spans="1:22" x14ac:dyDescent="0.2">
      <c r="A20" s="8" t="s">
        <v>38</v>
      </c>
      <c r="B20" s="42">
        <f>E43*B61</f>
        <v>2380000</v>
      </c>
      <c r="C20" s="47"/>
      <c r="D20" s="47"/>
      <c r="E20" s="47"/>
      <c r="F20" s="47"/>
      <c r="G20" s="47"/>
      <c r="H20" s="48">
        <f>B20/2</f>
        <v>1190000</v>
      </c>
      <c r="I20" s="48">
        <f>2380000/2</f>
        <v>1190000</v>
      </c>
      <c r="J20" s="25">
        <f>SUM(C20:I20)-B20</f>
        <v>0</v>
      </c>
    </row>
    <row r="21" spans="1:22" x14ac:dyDescent="0.2">
      <c r="A21" s="8" t="s">
        <v>16</v>
      </c>
      <c r="B21" s="41">
        <f>E44*B61</f>
        <v>742560</v>
      </c>
      <c r="C21" s="47"/>
      <c r="D21" s="47"/>
      <c r="E21" s="47"/>
      <c r="F21" s="47"/>
      <c r="G21" s="47"/>
      <c r="H21" s="48">
        <f>742560/2</f>
        <v>371280</v>
      </c>
      <c r="I21" s="48">
        <f>742560/2</f>
        <v>371280</v>
      </c>
      <c r="J21" s="25">
        <f>SUM(C21:I21)-B21</f>
        <v>0</v>
      </c>
    </row>
    <row r="22" spans="1:22" x14ac:dyDescent="0.2">
      <c r="A22" s="8"/>
      <c r="C22" s="56"/>
      <c r="D22" s="56"/>
      <c r="E22" s="56"/>
      <c r="F22" s="72"/>
      <c r="G22" s="72"/>
      <c r="H22" s="72"/>
      <c r="I22" s="72"/>
      <c r="J22" s="25"/>
    </row>
    <row r="23" spans="1:22" x14ac:dyDescent="0.2">
      <c r="A23" s="75" t="s">
        <v>42</v>
      </c>
      <c r="B23" s="43">
        <f>SUM(B6:B21)</f>
        <v>14060028</v>
      </c>
      <c r="C23" s="74">
        <f>SUM(C6:C21)</f>
        <v>278675</v>
      </c>
      <c r="D23" s="74">
        <f t="shared" ref="D23:I23" si="0">SUM(D6:D21)</f>
        <v>6545507</v>
      </c>
      <c r="E23" s="74">
        <f t="shared" si="0"/>
        <v>1244584</v>
      </c>
      <c r="F23" s="74">
        <f t="shared" si="0"/>
        <v>0</v>
      </c>
      <c r="G23" s="74">
        <f t="shared" si="0"/>
        <v>74175</v>
      </c>
      <c r="H23" s="74">
        <f t="shared" si="0"/>
        <v>4064847</v>
      </c>
      <c r="I23" s="74">
        <f t="shared" si="0"/>
        <v>1852240</v>
      </c>
      <c r="J23" s="25">
        <f>SUM(C23:I23)-B23</f>
        <v>0</v>
      </c>
    </row>
    <row r="24" spans="1:22" x14ac:dyDescent="0.2">
      <c r="A24" s="75"/>
      <c r="B24" s="44"/>
      <c r="C24" s="49"/>
      <c r="F24" s="49"/>
      <c r="G24" s="49"/>
      <c r="H24" s="49"/>
      <c r="I24" s="49"/>
      <c r="J24" s="49"/>
      <c r="K24" s="25">
        <f>SUM(C24:J24)-B24</f>
        <v>0</v>
      </c>
      <c r="V24" s="44"/>
    </row>
    <row r="25" spans="1:22" x14ac:dyDescent="0.2">
      <c r="A25" s="4"/>
      <c r="B25" s="6"/>
      <c r="C25" s="11"/>
      <c r="D25" s="10"/>
      <c r="E25" s="7"/>
      <c r="F25" s="10"/>
      <c r="G25" s="10"/>
      <c r="H25" s="10"/>
      <c r="I25" s="10"/>
      <c r="J25" s="10"/>
      <c r="K25" s="10"/>
      <c r="L25" s="10"/>
      <c r="M25" s="10"/>
    </row>
    <row r="26" spans="1:22" x14ac:dyDescent="0.2">
      <c r="A26" s="4"/>
      <c r="B26" s="6"/>
      <c r="C26" s="11"/>
      <c r="D26" s="10"/>
      <c r="E26" s="7"/>
      <c r="F26" s="10"/>
      <c r="G26" s="10"/>
      <c r="H26" s="10"/>
      <c r="I26" s="10"/>
      <c r="J26" s="10"/>
      <c r="K26" s="10"/>
      <c r="L26" s="10"/>
      <c r="M26" s="10"/>
    </row>
    <row r="27" spans="1:22" hidden="1" x14ac:dyDescent="0.2">
      <c r="A27" s="4"/>
      <c r="B27" s="6"/>
      <c r="C27" s="11"/>
      <c r="D27" s="10"/>
      <c r="E27" s="7"/>
      <c r="F27" s="10"/>
      <c r="G27" s="10"/>
      <c r="H27" s="10"/>
      <c r="I27" s="10"/>
      <c r="J27" s="10"/>
      <c r="K27" s="10"/>
      <c r="L27" s="10"/>
      <c r="M27" s="10"/>
    </row>
    <row r="28" spans="1:22" ht="51" hidden="1" x14ac:dyDescent="0.2">
      <c r="A28" s="4"/>
      <c r="B28" s="3" t="s">
        <v>0</v>
      </c>
      <c r="C28" s="28" t="s">
        <v>8</v>
      </c>
      <c r="D28" s="29" t="s">
        <v>9</v>
      </c>
      <c r="E28" s="29" t="s">
        <v>11</v>
      </c>
      <c r="F28" s="30" t="s">
        <v>1</v>
      </c>
      <c r="G28" s="30" t="s">
        <v>2</v>
      </c>
      <c r="H28" s="30" t="s">
        <v>3</v>
      </c>
      <c r="I28" s="30" t="s">
        <v>4</v>
      </c>
      <c r="J28" s="30" t="s">
        <v>5</v>
      </c>
      <c r="K28" s="30"/>
      <c r="L28" s="30"/>
      <c r="M28" s="26"/>
    </row>
    <row r="29" spans="1:22" hidden="1" x14ac:dyDescent="0.2">
      <c r="A29" s="60" t="s">
        <v>12</v>
      </c>
      <c r="B29" s="61"/>
      <c r="C29" s="62"/>
      <c r="D29" s="29"/>
      <c r="E29" s="29"/>
      <c r="F29" s="30"/>
      <c r="G29" s="30"/>
      <c r="H29" s="30"/>
      <c r="I29" s="30"/>
      <c r="J29" s="30"/>
      <c r="K29" s="30"/>
      <c r="L29" s="30"/>
      <c r="M29" s="13" t="s">
        <v>40</v>
      </c>
    </row>
    <row r="30" spans="1:22" hidden="1" x14ac:dyDescent="0.2">
      <c r="A30" s="63" t="s">
        <v>39</v>
      </c>
      <c r="B30" s="61"/>
      <c r="C30" s="62"/>
      <c r="D30" s="29"/>
      <c r="E30" s="29"/>
      <c r="F30" s="30"/>
      <c r="G30" s="30"/>
      <c r="H30" s="30"/>
      <c r="I30" s="30"/>
      <c r="J30" s="30"/>
      <c r="K30" s="30"/>
      <c r="L30" s="30"/>
      <c r="M30" s="40" t="s">
        <v>23</v>
      </c>
    </row>
    <row r="31" spans="1:22" hidden="1" x14ac:dyDescent="0.2">
      <c r="A31" s="64" t="s">
        <v>7</v>
      </c>
      <c r="B31" s="65"/>
      <c r="C31" s="66"/>
      <c r="D31" s="32"/>
      <c r="E31" s="32">
        <v>300000</v>
      </c>
      <c r="F31" s="34"/>
      <c r="G31" s="34"/>
      <c r="H31" s="34"/>
      <c r="I31" s="34"/>
      <c r="J31" s="34"/>
      <c r="K31" s="34"/>
      <c r="L31" s="34"/>
      <c r="M31" s="24">
        <v>0</v>
      </c>
    </row>
    <row r="32" spans="1:22" hidden="1" x14ac:dyDescent="0.2">
      <c r="A32" s="64"/>
      <c r="B32" s="65"/>
      <c r="C32" s="66"/>
      <c r="D32" s="32"/>
      <c r="E32" s="32"/>
      <c r="F32" s="34"/>
      <c r="G32" s="34"/>
      <c r="H32" s="34"/>
      <c r="I32" s="34"/>
      <c r="J32" s="34"/>
      <c r="K32" s="34"/>
      <c r="L32" s="34"/>
      <c r="M32" s="24"/>
    </row>
    <row r="33" spans="1:13" hidden="1" x14ac:dyDescent="0.2">
      <c r="A33" s="64" t="s">
        <v>34</v>
      </c>
      <c r="B33" s="67"/>
      <c r="C33" s="66"/>
      <c r="D33" s="32"/>
      <c r="E33" s="32">
        <f>2000000*0.88</f>
        <v>1760000</v>
      </c>
      <c r="F33" s="32"/>
      <c r="G33" s="32"/>
      <c r="H33" s="32"/>
      <c r="I33" s="32"/>
      <c r="J33" s="32"/>
      <c r="K33" s="32"/>
      <c r="L33" s="32"/>
      <c r="M33" s="24">
        <f>E33*C60</f>
        <v>704000</v>
      </c>
    </row>
    <row r="34" spans="1:13" hidden="1" x14ac:dyDescent="0.2">
      <c r="A34" s="64" t="s">
        <v>10</v>
      </c>
      <c r="B34" s="67">
        <f>3880*240*0.85*2</f>
        <v>1583040</v>
      </c>
      <c r="C34" s="66">
        <v>3775</v>
      </c>
      <c r="D34" s="32">
        <v>200</v>
      </c>
      <c r="E34" s="32">
        <f>C34*D34</f>
        <v>755000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/>
      <c r="L34" s="32"/>
      <c r="M34" s="24">
        <f>E34*C60</f>
        <v>302000</v>
      </c>
    </row>
    <row r="35" spans="1:13" hidden="1" x14ac:dyDescent="0.2">
      <c r="A35" s="64"/>
      <c r="B35" s="67"/>
      <c r="C35" s="66"/>
      <c r="D35" s="32"/>
      <c r="E35" s="32"/>
      <c r="F35" s="32"/>
      <c r="G35" s="32"/>
      <c r="H35" s="32"/>
      <c r="I35" s="32"/>
      <c r="J35" s="32"/>
      <c r="K35" s="32"/>
      <c r="L35" s="32"/>
      <c r="M35" s="24"/>
    </row>
    <row r="36" spans="1:13" hidden="1" x14ac:dyDescent="0.2">
      <c r="A36" s="64" t="s">
        <v>35</v>
      </c>
      <c r="B36" s="67"/>
      <c r="C36" s="66"/>
      <c r="D36" s="32"/>
      <c r="E36" s="32">
        <f>0.88*4000000</f>
        <v>3520000</v>
      </c>
      <c r="F36" s="32">
        <f>(6596+4241+4368)*240</f>
        <v>3649200</v>
      </c>
      <c r="G36" s="32">
        <f>(6596+4241+4368)*240</f>
        <v>3649200</v>
      </c>
      <c r="H36" s="32">
        <f>(6596+4241+4368)*240</f>
        <v>3649200</v>
      </c>
      <c r="I36" s="32">
        <f>(6596+4241+4368)*240</f>
        <v>3649200</v>
      </c>
      <c r="J36" s="32">
        <f>(4454+1938)*240</f>
        <v>1534080</v>
      </c>
      <c r="K36" s="32"/>
      <c r="L36" s="32"/>
      <c r="M36" s="24">
        <f>E36*C62</f>
        <v>563200</v>
      </c>
    </row>
    <row r="37" spans="1:13" hidden="1" x14ac:dyDescent="0.2">
      <c r="A37" s="64" t="s">
        <v>14</v>
      </c>
      <c r="B37" s="67"/>
      <c r="C37" s="66">
        <f>4394+9754</f>
        <v>14148</v>
      </c>
      <c r="D37" s="32">
        <v>200</v>
      </c>
      <c r="E37" s="32">
        <f>C37*D37</f>
        <v>2829600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/>
      <c r="L37" s="32"/>
      <c r="M37" s="24">
        <f>E37*C62</f>
        <v>452736</v>
      </c>
    </row>
    <row r="38" spans="1:13" hidden="1" x14ac:dyDescent="0.2">
      <c r="A38" s="64" t="s">
        <v>15</v>
      </c>
      <c r="B38" s="67"/>
      <c r="C38" s="66">
        <v>4839</v>
      </c>
      <c r="D38" s="32">
        <v>200</v>
      </c>
      <c r="E38" s="32">
        <f>C38*D38</f>
        <v>967800</v>
      </c>
      <c r="F38" s="32">
        <f>3439*240</f>
        <v>825360</v>
      </c>
      <c r="G38" s="32">
        <f>3439*240</f>
        <v>825360</v>
      </c>
      <c r="H38" s="32">
        <f>3439*240</f>
        <v>825360</v>
      </c>
      <c r="I38" s="32">
        <v>0</v>
      </c>
      <c r="J38" s="32">
        <v>0</v>
      </c>
      <c r="K38" s="32"/>
      <c r="L38" s="32"/>
      <c r="M38" s="24">
        <f>E38*C62</f>
        <v>154848</v>
      </c>
    </row>
    <row r="39" spans="1:13" hidden="1" x14ac:dyDescent="0.2">
      <c r="A39" s="64" t="s">
        <v>13</v>
      </c>
      <c r="B39" s="67"/>
      <c r="C39" s="66">
        <v>3439</v>
      </c>
      <c r="D39" s="32">
        <v>200</v>
      </c>
      <c r="E39" s="32">
        <f>C39*D39</f>
        <v>687800</v>
      </c>
      <c r="F39" s="32">
        <f>(5754+4839)*240</f>
        <v>2542320</v>
      </c>
      <c r="G39" s="32">
        <f>(5754+4839)*240</f>
        <v>2542320</v>
      </c>
      <c r="H39" s="32">
        <f>(5754+4839)*240</f>
        <v>2542320</v>
      </c>
      <c r="I39" s="32">
        <f>(3300)*240</f>
        <v>792000</v>
      </c>
      <c r="J39" s="32">
        <f>(3300)*240</f>
        <v>792000</v>
      </c>
      <c r="K39" s="32"/>
      <c r="L39" s="32"/>
      <c r="M39" s="24">
        <f>E39*C62</f>
        <v>110048</v>
      </c>
    </row>
    <row r="40" spans="1:13" hidden="1" x14ac:dyDescent="0.2">
      <c r="A40" s="63"/>
      <c r="B40" s="63"/>
      <c r="C40" s="68"/>
      <c r="D40" s="35"/>
      <c r="E40" s="35"/>
      <c r="F40" s="36"/>
      <c r="G40" s="36"/>
      <c r="H40" s="36"/>
      <c r="I40" s="36"/>
      <c r="J40" s="36"/>
      <c r="K40" s="36"/>
      <c r="L40" s="36"/>
      <c r="M40" s="24"/>
    </row>
    <row r="41" spans="1:13" hidden="1" x14ac:dyDescent="0.2">
      <c r="A41" s="64" t="s">
        <v>36</v>
      </c>
      <c r="B41" s="63"/>
      <c r="C41" s="68">
        <v>5444</v>
      </c>
      <c r="D41" s="32">
        <v>200</v>
      </c>
      <c r="E41" s="32">
        <f>C41*D41</f>
        <v>1088800</v>
      </c>
      <c r="F41" s="36"/>
      <c r="G41" s="36"/>
      <c r="H41" s="36"/>
      <c r="I41" s="36"/>
      <c r="J41" s="36"/>
      <c r="K41" s="36"/>
      <c r="L41" s="36"/>
      <c r="M41" s="24">
        <f>E41*C61</f>
        <v>163320</v>
      </c>
    </row>
    <row r="42" spans="1:13" hidden="1" x14ac:dyDescent="0.2">
      <c r="A42" s="64" t="s">
        <v>37</v>
      </c>
      <c r="B42" s="67"/>
      <c r="C42" s="66">
        <f>2913+2863</f>
        <v>5776</v>
      </c>
      <c r="D42" s="32">
        <v>200</v>
      </c>
      <c r="E42" s="32">
        <f>C42*D42</f>
        <v>1155200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/>
      <c r="L42" s="32"/>
      <c r="M42" s="24">
        <f>E42*C61</f>
        <v>173280</v>
      </c>
    </row>
    <row r="43" spans="1:13" hidden="1" x14ac:dyDescent="0.2">
      <c r="A43" s="64" t="s">
        <v>38</v>
      </c>
      <c r="B43" s="67"/>
      <c r="C43" s="66"/>
      <c r="D43" s="32"/>
      <c r="E43" s="32">
        <f>0.7*4000000</f>
        <v>2800000</v>
      </c>
      <c r="F43" s="32">
        <f>275000*0.85</f>
        <v>233750</v>
      </c>
      <c r="G43" s="32">
        <f>275000*0.85</f>
        <v>233750</v>
      </c>
      <c r="H43" s="32">
        <f>275000*0.85</f>
        <v>233750</v>
      </c>
      <c r="I43" s="32">
        <f>275000*0.85</f>
        <v>233750</v>
      </c>
      <c r="J43" s="32">
        <f>275000*0.85</f>
        <v>233750</v>
      </c>
      <c r="K43" s="32"/>
      <c r="L43" s="32"/>
      <c r="M43" s="24">
        <f>E43*C61</f>
        <v>420000</v>
      </c>
    </row>
    <row r="44" spans="1:13" hidden="1" x14ac:dyDescent="0.2">
      <c r="A44" s="64" t="s">
        <v>16</v>
      </c>
      <c r="B44" s="67"/>
      <c r="C44" s="66">
        <v>4368</v>
      </c>
      <c r="D44" s="32">
        <v>200</v>
      </c>
      <c r="E44" s="37">
        <f>C44*D44</f>
        <v>873600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/>
      <c r="L44" s="32"/>
      <c r="M44" s="27">
        <f>E44*C61</f>
        <v>131040</v>
      </c>
    </row>
    <row r="45" spans="1:13" hidden="1" x14ac:dyDescent="0.2">
      <c r="A45" s="4"/>
      <c r="B45" s="6"/>
      <c r="C45" s="31"/>
      <c r="D45" s="33" t="s">
        <v>6</v>
      </c>
      <c r="E45" s="33">
        <f>SUM(E31:E44)</f>
        <v>16737800</v>
      </c>
      <c r="F45" s="32">
        <f>0.7*1500000*0.85</f>
        <v>892500</v>
      </c>
      <c r="G45" s="32">
        <v>0</v>
      </c>
      <c r="H45" s="32">
        <v>0</v>
      </c>
      <c r="I45" s="32">
        <v>0</v>
      </c>
      <c r="J45" s="32">
        <v>0</v>
      </c>
      <c r="K45" s="32"/>
      <c r="L45" s="32"/>
      <c r="M45" s="25">
        <f>SUM(M31:M44)</f>
        <v>3174472</v>
      </c>
    </row>
    <row r="46" spans="1:13" hidden="1" x14ac:dyDescent="0.2">
      <c r="A46" s="4"/>
      <c r="B46" s="6"/>
      <c r="C46" s="11"/>
      <c r="D46" s="10"/>
      <c r="E46" s="10"/>
      <c r="F46" s="10">
        <v>0</v>
      </c>
      <c r="G46" s="10">
        <f>0.6*1500000*0.85</f>
        <v>765000</v>
      </c>
      <c r="H46" s="10">
        <f>0.6*1500000*0.85</f>
        <v>765000</v>
      </c>
      <c r="I46" s="10">
        <f>0.6*1500000*0.85</f>
        <v>765000</v>
      </c>
      <c r="J46" s="10">
        <f>0.6*1500000*0.85</f>
        <v>765000</v>
      </c>
      <c r="K46" s="10"/>
      <c r="L46" s="10"/>
      <c r="M46" s="10"/>
    </row>
    <row r="47" spans="1:13" hidden="1" x14ac:dyDescent="0.2">
      <c r="A47" s="4"/>
      <c r="B47" s="6"/>
      <c r="C47" s="11"/>
      <c r="D47" s="10"/>
      <c r="E47" s="7"/>
      <c r="F47" s="10">
        <f>275000*3</f>
        <v>825000</v>
      </c>
      <c r="G47" s="10">
        <f>275000*3</f>
        <v>825000</v>
      </c>
      <c r="H47" s="10">
        <f>275000*3</f>
        <v>825000</v>
      </c>
      <c r="I47" s="10">
        <f>275000*3</f>
        <v>825000</v>
      </c>
      <c r="J47" s="10">
        <f>275000*3</f>
        <v>825000</v>
      </c>
      <c r="K47" s="10"/>
      <c r="L47" s="10"/>
      <c r="M47" s="10"/>
    </row>
    <row r="48" spans="1:13" hidden="1" x14ac:dyDescent="0.2"/>
    <row r="49" spans="1:4" hidden="1" x14ac:dyDescent="0.2"/>
    <row r="50" spans="1:4" ht="12.75" hidden="1" customHeight="1" x14ac:dyDescent="0.2">
      <c r="A50" s="76" t="s">
        <v>26</v>
      </c>
      <c r="B50" s="77"/>
      <c r="C50" s="76" t="s">
        <v>32</v>
      </c>
      <c r="D50" s="77"/>
    </row>
    <row r="51" spans="1:4" hidden="1" x14ac:dyDescent="0.2">
      <c r="A51" s="18" t="s">
        <v>24</v>
      </c>
      <c r="B51" s="50">
        <f>300000+20000+30000</f>
        <v>350000</v>
      </c>
      <c r="C51" s="18" t="s">
        <v>28</v>
      </c>
      <c r="D51" s="50">
        <f>26000+82940+12276+50000</f>
        <v>171216</v>
      </c>
    </row>
    <row r="52" spans="1:4" hidden="1" x14ac:dyDescent="0.2">
      <c r="A52" s="18" t="s">
        <v>25</v>
      </c>
      <c r="B52" s="51">
        <f>5000+10000+2587108+10000+1631+100000</f>
        <v>2713739</v>
      </c>
      <c r="C52" s="18" t="s">
        <v>29</v>
      </c>
      <c r="D52" s="51">
        <f>969567.83+2078018.29+100000</f>
        <v>3147586.12</v>
      </c>
    </row>
    <row r="53" spans="1:4" hidden="1" x14ac:dyDescent="0.2">
      <c r="A53" s="18"/>
      <c r="B53" s="50">
        <f>SUM(B51:B52)</f>
        <v>3063739</v>
      </c>
      <c r="C53" s="18"/>
      <c r="D53" s="50">
        <f>SUM(D51:D52)</f>
        <v>3318802.12</v>
      </c>
    </row>
    <row r="54" spans="1:4" hidden="1" x14ac:dyDescent="0.2">
      <c r="A54" s="18"/>
      <c r="B54" s="50"/>
      <c r="C54" s="18" t="s">
        <v>30</v>
      </c>
      <c r="D54" s="50">
        <f>10834+8108</f>
        <v>18942</v>
      </c>
    </row>
    <row r="55" spans="1:4" hidden="1" x14ac:dyDescent="0.2">
      <c r="A55" s="18" t="s">
        <v>27</v>
      </c>
      <c r="B55" s="52">
        <f>B53/4000000</f>
        <v>0.76593475</v>
      </c>
      <c r="C55" s="18" t="s">
        <v>31</v>
      </c>
      <c r="D55" s="50">
        <f>D53/D54</f>
        <v>175.208643226692</v>
      </c>
    </row>
    <row r="56" spans="1:4" hidden="1" x14ac:dyDescent="0.2">
      <c r="A56" s="19" t="s">
        <v>33</v>
      </c>
      <c r="B56" s="20">
        <f>B55*1.15</f>
        <v>0.88082496249999997</v>
      </c>
      <c r="C56" s="19" t="s">
        <v>33</v>
      </c>
      <c r="D56" s="20">
        <v>200</v>
      </c>
    </row>
    <row r="57" spans="1:4" hidden="1" x14ac:dyDescent="0.2">
      <c r="A57" s="21"/>
      <c r="B57" s="21"/>
      <c r="C57" s="53"/>
      <c r="D57" s="54"/>
    </row>
    <row r="58" spans="1:4" hidden="1" x14ac:dyDescent="0.2">
      <c r="A58" s="21" t="s">
        <v>22</v>
      </c>
      <c r="B58" s="21"/>
      <c r="C58" s="21"/>
      <c r="D58" s="54"/>
    </row>
    <row r="59" spans="1:4" hidden="1" x14ac:dyDescent="0.2">
      <c r="A59" s="22"/>
      <c r="B59" s="21" t="s">
        <v>21</v>
      </c>
      <c r="C59" s="22" t="s">
        <v>20</v>
      </c>
      <c r="D59" s="54"/>
    </row>
    <row r="60" spans="1:4" hidden="1" x14ac:dyDescent="0.2">
      <c r="A60" s="23" t="s">
        <v>17</v>
      </c>
      <c r="B60" s="21">
        <f>1-C60</f>
        <v>0.6</v>
      </c>
      <c r="C60" s="23">
        <v>0.4</v>
      </c>
      <c r="D60" s="54"/>
    </row>
    <row r="61" spans="1:4" hidden="1" x14ac:dyDescent="0.2">
      <c r="A61" s="23" t="s">
        <v>19</v>
      </c>
      <c r="B61" s="21">
        <f>1-C61</f>
        <v>0.85</v>
      </c>
      <c r="C61" s="23">
        <v>0.15</v>
      </c>
      <c r="D61" s="54"/>
    </row>
    <row r="62" spans="1:4" hidden="1" x14ac:dyDescent="0.2">
      <c r="A62" s="23" t="s">
        <v>18</v>
      </c>
      <c r="B62" s="21">
        <f>1-C62</f>
        <v>0.84</v>
      </c>
      <c r="C62" s="23">
        <v>0.16</v>
      </c>
      <c r="D62" s="54"/>
    </row>
  </sheetData>
  <mergeCells count="3">
    <mergeCell ref="A50:B50"/>
    <mergeCell ref="C50:D50"/>
    <mergeCell ref="K5:L5"/>
  </mergeCells>
  <phoneticPr fontId="2" type="noConversion"/>
  <printOptions gridLines="1"/>
  <pageMargins left="0.54" right="0.46" top="0.56000000000000005" bottom="0.56000000000000005" header="0.5" footer="0.5"/>
  <pageSetup paperSize="3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West Side</vt:lpstr>
      <vt:lpstr>'West Side'!factor</vt:lpstr>
      <vt:lpstr>'West Side'!Print_Area</vt:lpstr>
      <vt:lpstr>'West Side'!three</vt:lpstr>
      <vt:lpstr>'West Side'!two</vt:lpstr>
    </vt:vector>
  </TitlesOfParts>
  <Company>RTSI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kirbya</dc:creator>
  <cp:lastModifiedBy>Langston, Gary (RTKC)</cp:lastModifiedBy>
  <cp:lastPrinted>2008-08-08T02:34:29Z</cp:lastPrinted>
  <dcterms:created xsi:type="dcterms:W3CDTF">2007-08-02T01:35:06Z</dcterms:created>
  <dcterms:modified xsi:type="dcterms:W3CDTF">2016-03-14T21:03:17Z</dcterms:modified>
</cp:coreProperties>
</file>